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U:\Knowledge Exchange\Webinars\2019-20 Winter Webinars\03 Business Basics for Beginning Farmers\"/>
    </mc:Choice>
  </mc:AlternateContent>
  <xr:revisionPtr revIDLastSave="0" documentId="13_ncr:1_{9D548620-E0FE-47B3-8D70-2B274CD5EF37}" xr6:coauthVersionLast="41" xr6:coauthVersionMax="41" xr10:uidLastSave="{00000000-0000-0000-0000-000000000000}"/>
  <bookViews>
    <workbookView xWindow="-120" yWindow="-120" windowWidth="22140" windowHeight="13740" xr2:uid="{00000000-000D-0000-FFFF-FFFF00000000}"/>
  </bookViews>
  <sheets>
    <sheet name="TLM Edits"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2" l="1"/>
  <c r="H17" i="2"/>
  <c r="B9" i="2"/>
  <c r="B17" i="2"/>
  <c r="B34" i="2"/>
  <c r="M34" i="2"/>
  <c r="G34" i="2"/>
  <c r="L34" i="2"/>
  <c r="K34" i="2"/>
  <c r="J34" i="2"/>
  <c r="I34" i="2"/>
  <c r="H34" i="2"/>
  <c r="F34" i="2"/>
  <c r="E34" i="2"/>
  <c r="D34" i="2"/>
  <c r="C34" i="2"/>
  <c r="E19" i="2"/>
  <c r="E14" i="2"/>
  <c r="K19" i="2"/>
  <c r="J19" i="2"/>
  <c r="I19" i="2"/>
  <c r="H19" i="2"/>
  <c r="G19" i="2"/>
  <c r="F19" i="2"/>
  <c r="K14" i="2"/>
  <c r="J14" i="2"/>
  <c r="I14" i="2"/>
  <c r="H14" i="2"/>
  <c r="G14" i="2"/>
  <c r="F14" i="2"/>
  <c r="I9" i="2"/>
  <c r="J9" i="2"/>
  <c r="K9" i="2"/>
  <c r="K15" i="2"/>
  <c r="J15" i="2"/>
  <c r="I15" i="2"/>
  <c r="H15" i="2"/>
  <c r="C9" i="2"/>
  <c r="D9" i="2"/>
  <c r="E9" i="2"/>
  <c r="F9" i="2"/>
  <c r="G9" i="2"/>
  <c r="G15" i="2"/>
  <c r="F15" i="2"/>
  <c r="E15" i="2"/>
  <c r="L9" i="2"/>
  <c r="M9" i="2"/>
  <c r="M22" i="2"/>
  <c r="L22" i="2"/>
  <c r="K22" i="2"/>
  <c r="J22" i="2"/>
  <c r="I22" i="2"/>
  <c r="H22" i="2"/>
  <c r="G22" i="2"/>
  <c r="F22" i="2"/>
  <c r="E22" i="2"/>
  <c r="D22" i="2"/>
  <c r="C22" i="2"/>
  <c r="B22" i="2"/>
  <c r="M21" i="2"/>
  <c r="L21" i="2"/>
  <c r="K21" i="2"/>
  <c r="J21" i="2"/>
  <c r="I21" i="2"/>
  <c r="H21" i="2"/>
  <c r="G21" i="2"/>
  <c r="F21" i="2"/>
  <c r="E21" i="2"/>
  <c r="D21" i="2"/>
  <c r="C21" i="2"/>
  <c r="B21" i="2"/>
  <c r="M13" i="2"/>
  <c r="M20" i="2"/>
  <c r="L13" i="2"/>
  <c r="L20" i="2"/>
  <c r="D13" i="2"/>
  <c r="D20" i="2"/>
  <c r="C13" i="2"/>
  <c r="C20" i="2"/>
  <c r="B13" i="2"/>
  <c r="B20" i="2"/>
  <c r="L8" i="2"/>
  <c r="M8" i="2"/>
  <c r="L10" i="2"/>
  <c r="M10" i="2"/>
  <c r="M16" i="2"/>
  <c r="L16" i="2"/>
  <c r="F8" i="2"/>
  <c r="G8" i="2"/>
  <c r="F10" i="2"/>
  <c r="G10" i="2"/>
  <c r="G16" i="2"/>
  <c r="F16" i="2"/>
  <c r="M40" i="2"/>
  <c r="L40" i="2"/>
  <c r="K40" i="2"/>
  <c r="J40" i="2"/>
  <c r="I40" i="2"/>
  <c r="H40" i="2"/>
  <c r="G40" i="2"/>
  <c r="F40" i="2"/>
  <c r="E40" i="2"/>
  <c r="D40" i="2"/>
  <c r="C40" i="2"/>
  <c r="B40" i="2"/>
  <c r="F25" i="2"/>
  <c r="F30" i="2"/>
  <c r="F41" i="2"/>
  <c r="B18" i="2"/>
  <c r="B24" i="2"/>
  <c r="B25" i="2"/>
  <c r="B30" i="2"/>
  <c r="B41" i="2"/>
  <c r="B46" i="2"/>
  <c r="C42" i="2"/>
  <c r="C24" i="2"/>
  <c r="C25" i="2"/>
  <c r="C30" i="2"/>
  <c r="C41" i="2"/>
  <c r="C46" i="2"/>
  <c r="D42" i="2"/>
  <c r="D24" i="2"/>
  <c r="D25" i="2"/>
  <c r="D30" i="2"/>
  <c r="D41" i="2"/>
  <c r="D46" i="2"/>
  <c r="E42" i="2"/>
  <c r="E25" i="2"/>
  <c r="E30" i="2"/>
  <c r="E41" i="2"/>
  <c r="E46" i="2"/>
  <c r="F42" i="2"/>
  <c r="F46" i="2"/>
  <c r="G42" i="2"/>
  <c r="G18" i="2"/>
  <c r="G24" i="2"/>
  <c r="G25" i="2"/>
  <c r="G30" i="2"/>
  <c r="G41" i="2"/>
  <c r="G46" i="2"/>
  <c r="H42" i="2"/>
  <c r="H24" i="2"/>
  <c r="H25" i="2"/>
  <c r="H30" i="2"/>
  <c r="H41" i="2"/>
  <c r="H46" i="2"/>
  <c r="I42" i="2"/>
  <c r="I24" i="2"/>
  <c r="I25" i="2"/>
  <c r="I30" i="2"/>
  <c r="I41" i="2"/>
  <c r="I46" i="2"/>
  <c r="J42" i="2"/>
  <c r="J25" i="2"/>
  <c r="J30" i="2"/>
  <c r="J41" i="2"/>
  <c r="J46" i="2"/>
  <c r="K42" i="2"/>
  <c r="K25" i="2"/>
  <c r="K30" i="2"/>
  <c r="K41" i="2"/>
  <c r="K46" i="2"/>
  <c r="L42" i="2"/>
  <c r="L25" i="2"/>
  <c r="L30" i="2"/>
  <c r="L41" i="2"/>
  <c r="L46" i="2"/>
  <c r="M42" i="2"/>
  <c r="M25" i="2"/>
  <c r="M30" i="2"/>
  <c r="M41" i="2"/>
  <c r="M46" i="2"/>
  <c r="N41" i="2"/>
  <c r="N16" i="2"/>
  <c r="O41" i="2"/>
  <c r="N40" i="2"/>
  <c r="O40" i="2"/>
  <c r="N38" i="2"/>
  <c r="O38" i="2"/>
  <c r="N37" i="2"/>
  <c r="N36" i="2"/>
  <c r="N34" i="2"/>
  <c r="N26" i="2"/>
  <c r="O37" i="2"/>
  <c r="O36" i="2"/>
  <c r="N35" i="2"/>
  <c r="O35" i="2"/>
  <c r="O34" i="2"/>
  <c r="N17" i="2"/>
  <c r="N27" i="2"/>
  <c r="N18" i="2"/>
  <c r="N19" i="2"/>
  <c r="N20" i="2"/>
  <c r="N21" i="2"/>
  <c r="N22" i="2"/>
  <c r="N23" i="2"/>
  <c r="N24" i="2"/>
  <c r="N28" i="2"/>
  <c r="N29" i="2"/>
  <c r="N25" i="2"/>
  <c r="N30" i="2"/>
  <c r="N32" i="2"/>
  <c r="O32" i="2"/>
  <c r="O30" i="2"/>
  <c r="O29" i="2"/>
  <c r="O28" i="2"/>
  <c r="O27" i="2"/>
  <c r="O25" i="2"/>
  <c r="O24" i="2"/>
  <c r="O23" i="2"/>
  <c r="O22" i="2"/>
  <c r="O21" i="2"/>
  <c r="O20" i="2"/>
  <c r="O19" i="2"/>
  <c r="O18" i="2"/>
  <c r="O17" i="2"/>
  <c r="O16" i="2"/>
  <c r="M32" i="2"/>
  <c r="L32" i="2"/>
  <c r="K32" i="2"/>
  <c r="J32" i="2"/>
  <c r="I32" i="2"/>
  <c r="H32" i="2"/>
  <c r="G32" i="2"/>
  <c r="F32" i="2"/>
  <c r="E32" i="2"/>
  <c r="D32" i="2"/>
  <c r="C32" i="2"/>
  <c r="B32" i="2"/>
  <c r="K8" i="2"/>
  <c r="J8" i="2"/>
  <c r="I8" i="2"/>
  <c r="H8" i="2"/>
  <c r="E8" i="2"/>
  <c r="D8" i="2"/>
  <c r="C8" i="2"/>
  <c r="B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Matteson</author>
  </authors>
  <commentList>
    <comment ref="B4" authorId="0" shapeId="0" xr:uid="{00000000-0006-0000-0000-000001000000}">
      <text>
        <r>
          <rPr>
            <sz val="9"/>
            <color indexed="81"/>
            <rFont val="Tahoma"/>
            <family val="2"/>
          </rPr>
          <t>Change this number for the number of cattle purchased. It should agree with "Lbs of Cattle Purchased" and "Average Daily Gain" in order to capture the correct growth of your herd</t>
        </r>
      </text>
    </comment>
    <comment ref="B5" authorId="0" shapeId="0" xr:uid="{00000000-0006-0000-0000-000002000000}">
      <text>
        <r>
          <rPr>
            <sz val="9"/>
            <color indexed="81"/>
            <rFont val="Tahoma"/>
            <family val="2"/>
          </rPr>
          <t>Change this number based on the number of cattle purchased. 50,000 lbs is about one trailer load and is an efficient quantity to buy.</t>
        </r>
      </text>
    </comment>
    <comment ref="B7" authorId="0" shapeId="0" xr:uid="{00000000-0006-0000-0000-000003000000}">
      <text>
        <r>
          <rPr>
            <sz val="9"/>
            <color indexed="81"/>
            <rFont val="Tahoma"/>
            <family val="2"/>
          </rPr>
          <t>Average Daily Gains for Grass Fed Cattle typically range from 1.0 to 3.0 lbs per day, depending on feed quality and genetics. Be conservative.</t>
        </r>
      </text>
    </comment>
    <comment ref="B8" authorId="0" shapeId="0" xr:uid="{00000000-0006-0000-0000-000004000000}">
      <text>
        <r>
          <rPr>
            <sz val="9"/>
            <color indexed="81"/>
            <rFont val="Tahoma"/>
            <family val="2"/>
          </rPr>
          <t>This assumes all cattle are purchased at the same weight.</t>
        </r>
      </text>
    </comment>
    <comment ref="B13" authorId="0" shapeId="0" xr:uid="{00000000-0006-0000-0000-000005000000}">
      <text>
        <r>
          <rPr>
            <sz val="9"/>
            <color indexed="81"/>
            <rFont val="Tahoma"/>
            <family val="2"/>
          </rPr>
          <t>This is based on an animal consuming 2.75% of its body weight, including wasted hay.</t>
        </r>
      </text>
    </comment>
    <comment ref="E14" authorId="0" shapeId="0" xr:uid="{00000000-0006-0000-0000-000006000000}">
      <text>
        <r>
          <rPr>
            <sz val="9"/>
            <color indexed="81"/>
            <rFont val="Tahoma"/>
            <family val="2"/>
          </rPr>
          <t>This is based on a ~30 day rest time and an annual average yield of 2.5 tons/ acre</t>
        </r>
      </text>
    </comment>
    <comment ref="E15" authorId="0" shapeId="0" xr:uid="{00000000-0006-0000-0000-000007000000}">
      <text>
        <r>
          <rPr>
            <sz val="9"/>
            <color indexed="81"/>
            <rFont val="Tahoma"/>
            <family val="2"/>
          </rPr>
          <t>Based on an animal eating 2.75% of their body weight. Seek help to estimate your forage yield if you have not measured it yourself.</t>
        </r>
      </text>
    </comment>
    <comment ref="F16" authorId="0" shapeId="0" xr:uid="{00000000-0006-0000-0000-000008000000}">
      <text>
        <r>
          <rPr>
            <sz val="9"/>
            <color indexed="81"/>
            <rFont val="Tahoma"/>
            <family val="2"/>
          </rPr>
          <t>This is based on a $2.55/lb live weight for grass fed animals. Check your local USDA AMS Terminal report for data more specific to your area.</t>
        </r>
      </text>
    </comment>
    <comment ref="B17" authorId="0" shapeId="0" xr:uid="{00000000-0006-0000-0000-000009000000}">
      <text>
        <r>
          <rPr>
            <sz val="9"/>
            <color indexed="81"/>
            <rFont val="Tahoma"/>
            <family val="2"/>
          </rPr>
          <t>This number is based on a $1.85/lb cost for feeders. Check your local USDA AMS Terminal Report to see pricing in your local market.</t>
        </r>
      </text>
    </comment>
    <comment ref="E19" authorId="0" shapeId="0" xr:uid="{00000000-0006-0000-0000-00000A000000}">
      <text>
        <r>
          <rPr>
            <sz val="9"/>
            <color indexed="81"/>
            <rFont val="Tahoma"/>
            <family val="2"/>
          </rPr>
          <t>A grazing fee of $20/ month/ head. If you are renting pasture on a per acre basis, put that rent figure here.</t>
        </r>
      </text>
    </comment>
    <comment ref="B20" authorId="0" shapeId="0" xr:uid="{00000000-0006-0000-0000-00000B000000}">
      <text>
        <r>
          <rPr>
            <sz val="9"/>
            <color indexed="81"/>
            <rFont val="Tahoma"/>
            <family val="2"/>
          </rPr>
          <t>Based on hay required and price above.</t>
        </r>
      </text>
    </comment>
    <comment ref="B23" authorId="0" shapeId="0" xr:uid="{00000000-0006-0000-0000-00000C000000}">
      <text>
        <r>
          <rPr>
            <sz val="9"/>
            <color indexed="81"/>
            <rFont val="Tahoma"/>
            <family val="2"/>
          </rPr>
          <t>In this example, this labor is pay someone to feed and/or move cattle one day a week.</t>
        </r>
      </text>
    </comment>
    <comment ref="F27" authorId="0" shapeId="0" xr:uid="{00000000-0006-0000-0000-00000D000000}">
      <text>
        <r>
          <rPr>
            <sz val="9"/>
            <color indexed="81"/>
            <rFont val="Tahoma"/>
            <family val="2"/>
          </rPr>
          <t>Auction commision</t>
        </r>
      </text>
    </comment>
    <comment ref="B34" authorId="0" shapeId="0" xr:uid="{00000000-0006-0000-0000-00000E000000}">
      <text>
        <r>
          <rPr>
            <sz val="9"/>
            <color indexed="81"/>
            <rFont val="Tahoma"/>
            <family val="2"/>
          </rPr>
          <t>Based on a 5% interest rate, interest is due monthly, principal is accounted before below in "Money Repaid"</t>
        </r>
      </text>
    </comment>
    <comment ref="B43" authorId="0" shapeId="0" xr:uid="{00000000-0006-0000-0000-00000F000000}">
      <text>
        <r>
          <rPr>
            <sz val="9"/>
            <color indexed="81"/>
            <rFont val="Tahoma"/>
            <family val="2"/>
          </rPr>
          <t>An operating loan advance from Farm Credit, repaid as agreed on "Money Repaid"</t>
        </r>
      </text>
    </comment>
  </commentList>
</comments>
</file>

<file path=xl/sharedStrings.xml><?xml version="1.0" encoding="utf-8"?>
<sst xmlns="http://schemas.openxmlformats.org/spreadsheetml/2006/main" count="57" uniqueCount="57">
  <si>
    <t>Winter Hay - Forage</t>
  </si>
  <si>
    <t>Other Feed</t>
  </si>
  <si>
    <t>Protein &amp; Mineral</t>
  </si>
  <si>
    <t>Hired Labor</t>
  </si>
  <si>
    <t>Veterinary &amp; Supplies</t>
  </si>
  <si>
    <t>Utilities, Fuel, Oil</t>
  </si>
  <si>
    <t>Facility &amp; Equip Repair</t>
  </si>
  <si>
    <t>Marketing</t>
  </si>
  <si>
    <t>Misc</t>
  </si>
  <si>
    <t>Interest</t>
  </si>
  <si>
    <t>Transport</t>
  </si>
  <si>
    <t>April</t>
  </si>
  <si>
    <t>May</t>
  </si>
  <si>
    <t>June</t>
  </si>
  <si>
    <t>July</t>
  </si>
  <si>
    <t>Total</t>
  </si>
  <si>
    <t>Insurance</t>
  </si>
  <si>
    <t>Summer Pasture</t>
  </si>
  <si>
    <t>Lbs of Cattle in Herd</t>
  </si>
  <si>
    <t>Average Daily Gain</t>
  </si>
  <si>
    <t>January</t>
  </si>
  <si>
    <t>February</t>
  </si>
  <si>
    <t>March</t>
  </si>
  <si>
    <t>September</t>
  </si>
  <si>
    <t>October</t>
  </si>
  <si>
    <t>November</t>
  </si>
  <si>
    <t>Decemeber</t>
  </si>
  <si>
    <t>% of Sales</t>
  </si>
  <si>
    <t>Death Losses</t>
  </si>
  <si>
    <t>TOTAL VARIABLE EXPENSES</t>
  </si>
  <si>
    <t>Head</t>
  </si>
  <si>
    <t>Average Weight/ Head</t>
  </si>
  <si>
    <t>Lbs of Cattle Purchased</t>
  </si>
  <si>
    <t>August</t>
  </si>
  <si>
    <t>Taxes</t>
  </si>
  <si>
    <t>GROSS MARGIN</t>
  </si>
  <si>
    <t>FIXED COSTS</t>
  </si>
  <si>
    <t>NET MARGIN</t>
  </si>
  <si>
    <t>Beginning Cash/ Checking</t>
  </si>
  <si>
    <t>Ending Cash/ Checking</t>
  </si>
  <si>
    <t>Money Borrowed</t>
  </si>
  <si>
    <t>Money Repaid</t>
  </si>
  <si>
    <t>Capital Purchases</t>
  </si>
  <si>
    <t>Fencing &amp; Fence Repairs</t>
  </si>
  <si>
    <t>Owner Draw</t>
  </si>
  <si>
    <t>Cattle Purchased</t>
  </si>
  <si>
    <t>TOTAL FIXED COSTS</t>
  </si>
  <si>
    <t>Finishing Weight</t>
  </si>
  <si>
    <t>Hay Price/ 1350 lb Bale</t>
  </si>
  <si>
    <t>Hay Required (Bales)</t>
  </si>
  <si>
    <t>Forage Yield/ Acre</t>
  </si>
  <si>
    <t>Pasture Required (Acres)</t>
  </si>
  <si>
    <t>SALES</t>
  </si>
  <si>
    <t>Finished Price/ Lb</t>
  </si>
  <si>
    <t>Stocker Price/ Lb</t>
  </si>
  <si>
    <t>Grass Fed Beef Monthly Cash Flow Budget</t>
  </si>
  <si>
    <r>
      <t xml:space="preserve">                             </t>
    </r>
    <r>
      <rPr>
        <b/>
        <sz val="11"/>
        <color rgb="FFFF0000"/>
        <rFont val="Calibri"/>
        <family val="2"/>
        <scheme val="minor"/>
      </rPr>
      <t xml:space="preserve"> download more info at:  www.farmbiztrainer.com/resources/groups/one-page-planning-suite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</si>
</sst>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5" x14ac:knownFonts="1">
    <font>
      <sz val="11"/>
      <color theme="1"/>
      <name val="Calibri"/>
      <family val="2"/>
      <scheme val="minor"/>
    </font>
    <font>
      <b/>
      <sz val="11"/>
      <color theme="1"/>
      <name val="Calibri"/>
      <family val="2"/>
      <scheme val="minor"/>
    </font>
    <font>
      <sz val="9"/>
      <color indexed="81"/>
      <name val="Tahoma"/>
      <family val="2"/>
    </font>
    <font>
      <b/>
      <sz val="16"/>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1" fillId="0" borderId="0" xfId="0" applyFont="1"/>
    <xf numFmtId="9" fontId="0" fillId="0" borderId="0" xfId="0" applyNumberFormat="1"/>
    <xf numFmtId="0" fontId="0" fillId="2" borderId="0" xfId="0" applyFill="1"/>
    <xf numFmtId="0" fontId="0" fillId="4" borderId="0" xfId="0" applyFill="1"/>
    <xf numFmtId="165" fontId="0" fillId="2" borderId="1" xfId="0" applyNumberFormat="1" applyFill="1" applyBorder="1"/>
    <xf numFmtId="0" fontId="1" fillId="0" borderId="1" xfId="0" applyFont="1" applyBorder="1"/>
    <xf numFmtId="0" fontId="1" fillId="0" borderId="1" xfId="0" applyFont="1" applyBorder="1" applyAlignment="1">
      <alignment horizontal="center"/>
    </xf>
    <xf numFmtId="0" fontId="1" fillId="2" borderId="1" xfId="0" applyFont="1" applyFill="1" applyBorder="1"/>
    <xf numFmtId="3" fontId="0" fillId="2" borderId="1" xfId="0" applyNumberFormat="1" applyFill="1" applyBorder="1"/>
    <xf numFmtId="3" fontId="0" fillId="2" borderId="1" xfId="0" applyNumberFormat="1" applyFill="1" applyBorder="1" applyAlignment="1">
      <alignment horizontal="right"/>
    </xf>
    <xf numFmtId="4" fontId="0" fillId="2" borderId="1" xfId="0" applyNumberFormat="1" applyFill="1" applyBorder="1" applyAlignment="1">
      <alignment horizontal="right"/>
    </xf>
    <xf numFmtId="4" fontId="0" fillId="2" borderId="1" xfId="0" applyNumberFormat="1" applyFill="1" applyBorder="1"/>
    <xf numFmtId="0" fontId="1" fillId="4" borderId="1" xfId="0" applyFont="1" applyFill="1" applyBorder="1"/>
    <xf numFmtId="0" fontId="0" fillId="4" borderId="1" xfId="0" applyFill="1" applyBorder="1"/>
    <xf numFmtId="165" fontId="0" fillId="4" borderId="1" xfId="0" applyNumberFormat="1" applyFill="1" applyBorder="1"/>
    <xf numFmtId="9" fontId="0" fillId="4" borderId="1" xfId="0" applyNumberFormat="1" applyFill="1" applyBorder="1"/>
    <xf numFmtId="10" fontId="0" fillId="2" borderId="1" xfId="0" applyNumberFormat="1" applyFill="1" applyBorder="1"/>
    <xf numFmtId="164" fontId="0" fillId="2" borderId="1" xfId="0" applyNumberFormat="1" applyFill="1" applyBorder="1"/>
    <xf numFmtId="10" fontId="0" fillId="4" borderId="1" xfId="0" applyNumberFormat="1" applyFill="1" applyBorder="1"/>
    <xf numFmtId="0" fontId="0" fillId="2" borderId="1" xfId="0" applyFill="1" applyBorder="1"/>
    <xf numFmtId="9" fontId="0" fillId="2" borderId="1" xfId="0" applyNumberFormat="1" applyFill="1" applyBorder="1"/>
    <xf numFmtId="0" fontId="1" fillId="3" borderId="1" xfId="0" applyFont="1" applyFill="1" applyBorder="1"/>
    <xf numFmtId="165" fontId="0" fillId="3" borderId="1" xfId="0" applyNumberFormat="1" applyFill="1" applyBorder="1"/>
    <xf numFmtId="0" fontId="0" fillId="3" borderId="1" xfId="0" applyFill="1" applyBorder="1"/>
    <xf numFmtId="9" fontId="0" fillId="3" borderId="1" xfId="0" applyNumberFormat="1" applyFill="1" applyBorder="1"/>
    <xf numFmtId="0" fontId="3" fillId="0" borderId="0" xfId="0" applyFont="1" applyAlignment="1">
      <alignment horizontal="center"/>
    </xf>
    <xf numFmtId="0" fontId="1" fillId="0" borderId="0" xfId="0" applyFont="1" applyAlignment="1">
      <alignment horizontal="center"/>
    </xf>
    <xf numFmtId="0" fontId="1" fillId="0" borderId="2" xfId="0" applyFont="1" applyBorder="1" applyAlignment="1">
      <alignment horizont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438150</xdr:colOff>
      <xdr:row>2</xdr:row>
      <xdr:rowOff>38639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028825" cy="419638"/>
        </a:xfrm>
        <a:prstGeom prst="rect">
          <a:avLst/>
        </a:prstGeom>
      </xdr:spPr>
    </xdr:pic>
    <xdr:clientData/>
  </xdr:twoCellAnchor>
  <xdr:twoCellAnchor>
    <xdr:from>
      <xdr:col>0</xdr:col>
      <xdr:colOff>190500</xdr:colOff>
      <xdr:row>50</xdr:row>
      <xdr:rowOff>95250</xdr:rowOff>
    </xdr:from>
    <xdr:to>
      <xdr:col>13</xdr:col>
      <xdr:colOff>571500</xdr:colOff>
      <xdr:row>54</xdr:row>
      <xdr:rowOff>57150</xdr:rowOff>
    </xdr:to>
    <xdr:sp macro="" textlink="">
      <xdr:nvSpPr>
        <xdr:cNvPr id="3" name="TextBox 2">
          <a:extLst>
            <a:ext uri="{FF2B5EF4-FFF2-40B4-BE49-F238E27FC236}">
              <a16:creationId xmlns:a16="http://schemas.microsoft.com/office/drawing/2014/main" id="{E1177195-1D91-433B-91EE-77C297C11C0C}"/>
            </a:ext>
          </a:extLst>
        </xdr:cNvPr>
        <xdr:cNvSpPr txBox="1"/>
      </xdr:nvSpPr>
      <xdr:spPr>
        <a:xfrm>
          <a:off x="190500" y="9620250"/>
          <a:ext cx="111156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Farm Credit East Disclaimer: The information provided is not intended to be investment, tax, or legal advice and should not be relied upon by recipients for such purposes. Farm Credit East does not make any representation or warranty regarding the content, and disclaims any responsibility for the information, materials, third-party opinions, and data included in this webinar. In no event will Farm Credit East be liable for any decision made or actions taken by any person or persons relying on the information contained in this webinar or its materials.</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2"/>
  <sheetViews>
    <sheetView tabSelected="1" topLeftCell="A33" workbookViewId="0">
      <selection activeCell="A56" sqref="A56"/>
    </sheetView>
  </sheetViews>
  <sheetFormatPr defaultRowHeight="15" x14ac:dyDescent="0.25"/>
  <cols>
    <col min="1" max="1" width="23.85546875" style="1" customWidth="1"/>
    <col min="2" max="15" width="11.42578125" customWidth="1"/>
  </cols>
  <sheetData>
    <row r="1" spans="1:15" x14ac:dyDescent="0.25">
      <c r="A1" s="26" t="s">
        <v>55</v>
      </c>
      <c r="B1" s="27"/>
      <c r="C1" s="27"/>
      <c r="D1" s="27"/>
      <c r="E1" s="27"/>
      <c r="F1" s="27"/>
      <c r="G1" s="27"/>
      <c r="H1" s="27"/>
      <c r="I1" s="27"/>
      <c r="J1" s="27"/>
      <c r="K1" s="27"/>
      <c r="L1" s="27"/>
      <c r="M1" s="27"/>
      <c r="N1" s="27"/>
      <c r="O1" s="27"/>
    </row>
    <row r="2" spans="1:15" x14ac:dyDescent="0.25">
      <c r="A2" s="28"/>
      <c r="B2" s="28"/>
      <c r="C2" s="28"/>
      <c r="D2" s="28"/>
      <c r="E2" s="28"/>
      <c r="F2" s="28"/>
      <c r="G2" s="28"/>
      <c r="H2" s="28"/>
      <c r="I2" s="28"/>
      <c r="J2" s="28"/>
      <c r="K2" s="28"/>
      <c r="L2" s="28"/>
      <c r="M2" s="28"/>
      <c r="N2" s="28"/>
      <c r="O2" s="28"/>
    </row>
    <row r="3" spans="1:15" x14ac:dyDescent="0.25">
      <c r="A3" s="6"/>
      <c r="B3" s="7" t="s">
        <v>20</v>
      </c>
      <c r="C3" s="7" t="s">
        <v>21</v>
      </c>
      <c r="D3" s="7" t="s">
        <v>22</v>
      </c>
      <c r="E3" s="7" t="s">
        <v>11</v>
      </c>
      <c r="F3" s="7" t="s">
        <v>12</v>
      </c>
      <c r="G3" s="7" t="s">
        <v>13</v>
      </c>
      <c r="H3" s="7" t="s">
        <v>14</v>
      </c>
      <c r="I3" s="7" t="s">
        <v>33</v>
      </c>
      <c r="J3" s="7" t="s">
        <v>23</v>
      </c>
      <c r="K3" s="7" t="s">
        <v>24</v>
      </c>
      <c r="L3" s="7" t="s">
        <v>25</v>
      </c>
      <c r="M3" s="7" t="s">
        <v>26</v>
      </c>
      <c r="N3" s="7" t="s">
        <v>15</v>
      </c>
      <c r="O3" s="7" t="s">
        <v>27</v>
      </c>
    </row>
    <row r="4" spans="1:15" x14ac:dyDescent="0.25">
      <c r="A4" s="8" t="s">
        <v>30</v>
      </c>
      <c r="B4" s="9">
        <v>60</v>
      </c>
      <c r="C4" s="9">
        <v>60</v>
      </c>
      <c r="D4" s="9">
        <v>60</v>
      </c>
      <c r="E4" s="9">
        <v>60</v>
      </c>
      <c r="F4" s="9">
        <v>60</v>
      </c>
      <c r="G4" s="9">
        <v>30</v>
      </c>
      <c r="H4" s="9">
        <v>60</v>
      </c>
      <c r="I4" s="9">
        <v>60</v>
      </c>
      <c r="J4" s="9">
        <v>60</v>
      </c>
      <c r="K4" s="9">
        <v>60</v>
      </c>
      <c r="L4" s="9">
        <v>60</v>
      </c>
      <c r="M4" s="9">
        <v>30</v>
      </c>
      <c r="N4" s="9"/>
      <c r="O4" s="9"/>
    </row>
    <row r="5" spans="1:15" x14ac:dyDescent="0.25">
      <c r="A5" s="8" t="s">
        <v>32</v>
      </c>
      <c r="B5" s="10">
        <v>50000</v>
      </c>
      <c r="C5" s="10"/>
      <c r="D5" s="10"/>
      <c r="E5" s="10"/>
      <c r="F5" s="10"/>
      <c r="G5" s="10"/>
      <c r="H5" s="10">
        <v>50000</v>
      </c>
      <c r="I5" s="10"/>
      <c r="J5" s="10"/>
      <c r="K5" s="10"/>
      <c r="L5" s="10"/>
      <c r="M5" s="10"/>
      <c r="N5" s="9"/>
      <c r="O5" s="9"/>
    </row>
    <row r="6" spans="1:15" x14ac:dyDescent="0.25">
      <c r="A6" s="8" t="s">
        <v>54</v>
      </c>
      <c r="B6" s="11">
        <v>1.85</v>
      </c>
      <c r="C6" s="10"/>
      <c r="D6" s="10"/>
      <c r="E6" s="10"/>
      <c r="F6" s="10"/>
      <c r="G6" s="10"/>
      <c r="H6" s="11">
        <v>1.85</v>
      </c>
      <c r="I6" s="10"/>
      <c r="J6" s="10"/>
      <c r="K6" s="10"/>
      <c r="L6" s="10"/>
      <c r="M6" s="10"/>
      <c r="N6" s="9"/>
      <c r="O6" s="9"/>
    </row>
    <row r="7" spans="1:15" x14ac:dyDescent="0.25">
      <c r="A7" s="8" t="s">
        <v>19</v>
      </c>
      <c r="B7" s="12">
        <v>2</v>
      </c>
      <c r="C7" s="12">
        <v>2</v>
      </c>
      <c r="D7" s="12">
        <v>2</v>
      </c>
      <c r="E7" s="12">
        <v>2</v>
      </c>
      <c r="F7" s="12">
        <v>2</v>
      </c>
      <c r="G7" s="12">
        <v>2</v>
      </c>
      <c r="H7" s="12">
        <v>2</v>
      </c>
      <c r="I7" s="12">
        <v>2</v>
      </c>
      <c r="J7" s="12">
        <v>2</v>
      </c>
      <c r="K7" s="12">
        <v>2</v>
      </c>
      <c r="L7" s="12">
        <v>2</v>
      </c>
      <c r="M7" s="12">
        <v>2</v>
      </c>
      <c r="N7" s="9"/>
      <c r="O7" s="9"/>
    </row>
    <row r="8" spans="1:15" x14ac:dyDescent="0.25">
      <c r="A8" s="8" t="s">
        <v>31</v>
      </c>
      <c r="B8" s="9">
        <f t="shared" ref="B8:M8" si="0">B9/B4</f>
        <v>895.33333333333337</v>
      </c>
      <c r="C8" s="9">
        <f t="shared" si="0"/>
        <v>951.33333333333337</v>
      </c>
      <c r="D8" s="9">
        <f t="shared" si="0"/>
        <v>1011.3333333333334</v>
      </c>
      <c r="E8" s="9">
        <f t="shared" si="0"/>
        <v>1071.3333333333333</v>
      </c>
      <c r="F8" s="9">
        <f t="shared" si="0"/>
        <v>1133.3333333333333</v>
      </c>
      <c r="G8" s="9">
        <f t="shared" si="0"/>
        <v>1195.3333333333333</v>
      </c>
      <c r="H8" s="9">
        <f t="shared" si="0"/>
        <v>895.33333333333337</v>
      </c>
      <c r="I8" s="9">
        <f t="shared" si="0"/>
        <v>957.33333333333337</v>
      </c>
      <c r="J8" s="9">
        <f t="shared" si="0"/>
        <v>1017.3333333333334</v>
      </c>
      <c r="K8" s="9">
        <f t="shared" si="0"/>
        <v>1079.3333333333333</v>
      </c>
      <c r="L8" s="9">
        <f t="shared" si="0"/>
        <v>1139.3333333333333</v>
      </c>
      <c r="M8" s="9">
        <f t="shared" si="0"/>
        <v>1201.3333333333333</v>
      </c>
      <c r="N8" s="9"/>
      <c r="O8" s="9"/>
    </row>
    <row r="9" spans="1:15" x14ac:dyDescent="0.25">
      <c r="A9" s="8" t="s">
        <v>18</v>
      </c>
      <c r="B9" s="9">
        <f>B5+(B4*B7*31)</f>
        <v>53720</v>
      </c>
      <c r="C9" s="9">
        <f>B9+(B7*28*B4)</f>
        <v>57080</v>
      </c>
      <c r="D9" s="9">
        <f>C9+(C7*30*C4)</f>
        <v>60680</v>
      </c>
      <c r="E9" s="9">
        <f>D9+(D7*30*D4)</f>
        <v>64280</v>
      </c>
      <c r="F9" s="9">
        <f>E9+(E7*31*E4)</f>
        <v>68000</v>
      </c>
      <c r="G9" s="9">
        <f>(F9+(F7*31*F4))/2</f>
        <v>35860</v>
      </c>
      <c r="H9" s="9">
        <f>H5+(H4*H7*31)</f>
        <v>53720</v>
      </c>
      <c r="I9" s="9">
        <f>H9+(H7*31*H4)</f>
        <v>57440</v>
      </c>
      <c r="J9" s="9">
        <f>I9+(I7*30*I4)</f>
        <v>61040</v>
      </c>
      <c r="K9" s="9">
        <f>J9+(J7*31*J4)</f>
        <v>64760</v>
      </c>
      <c r="L9" s="9">
        <f>K9+(K7*30*K4)</f>
        <v>68360</v>
      </c>
      <c r="M9" s="9">
        <f>(L9+(L7*31*L4))/2</f>
        <v>36040</v>
      </c>
      <c r="N9" s="9"/>
      <c r="O9" s="9"/>
    </row>
    <row r="10" spans="1:15" x14ac:dyDescent="0.25">
      <c r="A10" s="8" t="s">
        <v>47</v>
      </c>
      <c r="B10" s="9"/>
      <c r="C10" s="9"/>
      <c r="D10" s="9"/>
      <c r="E10" s="9"/>
      <c r="F10" s="9">
        <f>AVERAGE(F8:G8)</f>
        <v>1164.3333333333333</v>
      </c>
      <c r="G10" s="9">
        <f>F10</f>
        <v>1164.3333333333333</v>
      </c>
      <c r="H10" s="9"/>
      <c r="I10" s="9"/>
      <c r="J10" s="9"/>
      <c r="K10" s="9"/>
      <c r="L10" s="9">
        <f>AVERAGE(L8:M8)</f>
        <v>1170.3333333333333</v>
      </c>
      <c r="M10" s="9">
        <f>L10</f>
        <v>1170.3333333333333</v>
      </c>
      <c r="N10" s="9"/>
      <c r="O10" s="9"/>
    </row>
    <row r="11" spans="1:15" x14ac:dyDescent="0.25">
      <c r="A11" s="8" t="s">
        <v>53</v>
      </c>
      <c r="B11" s="9"/>
      <c r="C11" s="9"/>
      <c r="D11" s="9"/>
      <c r="E11" s="9"/>
      <c r="F11" s="12">
        <v>2.5499999999999998</v>
      </c>
      <c r="G11" s="12">
        <v>2.5499999999999998</v>
      </c>
      <c r="H11" s="9"/>
      <c r="I11" s="9"/>
      <c r="J11" s="9"/>
      <c r="K11" s="9"/>
      <c r="L11" s="12">
        <v>2.5499999999999998</v>
      </c>
      <c r="M11" s="12">
        <v>2.5499999999999998</v>
      </c>
      <c r="N11" s="9"/>
      <c r="O11" s="9"/>
    </row>
    <row r="12" spans="1:15" x14ac:dyDescent="0.25">
      <c r="A12" s="8" t="s">
        <v>48</v>
      </c>
      <c r="B12" s="9">
        <v>75</v>
      </c>
      <c r="C12" s="9">
        <v>75</v>
      </c>
      <c r="D12" s="9">
        <v>75</v>
      </c>
      <c r="E12" s="9"/>
      <c r="F12" s="9"/>
      <c r="G12" s="9"/>
      <c r="H12" s="9"/>
      <c r="I12" s="9"/>
      <c r="J12" s="9"/>
      <c r="K12" s="9"/>
      <c r="L12" s="9">
        <v>75</v>
      </c>
      <c r="M12" s="9">
        <v>75</v>
      </c>
      <c r="N12" s="9"/>
      <c r="O12" s="9"/>
    </row>
    <row r="13" spans="1:15" x14ac:dyDescent="0.25">
      <c r="A13" s="8" t="s">
        <v>49</v>
      </c>
      <c r="B13" s="9">
        <f>((B9*31)*0.0275)/1350</f>
        <v>33.92318518518519</v>
      </c>
      <c r="C13" s="9">
        <f>((C9*31)*0.0275)/1350</f>
        <v>36.044962962962963</v>
      </c>
      <c r="D13" s="9">
        <f>((D9*31)*0.0275)/1350</f>
        <v>38.318296296296296</v>
      </c>
      <c r="E13" s="9"/>
      <c r="F13" s="9"/>
      <c r="G13" s="9"/>
      <c r="H13" s="9"/>
      <c r="I13" s="9"/>
      <c r="J13" s="9"/>
      <c r="K13" s="9"/>
      <c r="L13" s="9">
        <f>((L9*31)*0.0275)/1350</f>
        <v>43.168074074074077</v>
      </c>
      <c r="M13" s="9">
        <f>((M9*31)*0.0275)/1350</f>
        <v>22.758592592592592</v>
      </c>
      <c r="N13" s="9"/>
      <c r="O13" s="9"/>
    </row>
    <row r="14" spans="1:15" x14ac:dyDescent="0.25">
      <c r="A14" s="8" t="s">
        <v>50</v>
      </c>
      <c r="B14" s="9"/>
      <c r="C14" s="9"/>
      <c r="D14" s="9"/>
      <c r="E14" s="9">
        <f>(2.5*2000)/7</f>
        <v>714.28571428571433</v>
      </c>
      <c r="F14" s="9">
        <f t="shared" ref="F14:K14" si="1">(2.5*2000)/7</f>
        <v>714.28571428571433</v>
      </c>
      <c r="G14" s="9">
        <f t="shared" si="1"/>
        <v>714.28571428571433</v>
      </c>
      <c r="H14" s="9">
        <f t="shared" si="1"/>
        <v>714.28571428571433</v>
      </c>
      <c r="I14" s="9">
        <f t="shared" si="1"/>
        <v>714.28571428571433</v>
      </c>
      <c r="J14" s="9">
        <f t="shared" si="1"/>
        <v>714.28571428571433</v>
      </c>
      <c r="K14" s="9">
        <f t="shared" si="1"/>
        <v>714.28571428571433</v>
      </c>
      <c r="L14" s="9"/>
      <c r="M14" s="9"/>
      <c r="N14" s="9"/>
      <c r="O14" s="9"/>
    </row>
    <row r="15" spans="1:15" x14ac:dyDescent="0.25">
      <c r="A15" s="8" t="s">
        <v>51</v>
      </c>
      <c r="B15" s="9"/>
      <c r="C15" s="9"/>
      <c r="D15" s="9"/>
      <c r="E15" s="9">
        <f t="shared" ref="E15:K15" si="2">((E9*0.0275)*30)/E14</f>
        <v>74.243399999999994</v>
      </c>
      <c r="F15" s="9">
        <f t="shared" si="2"/>
        <v>78.539999999999992</v>
      </c>
      <c r="G15" s="9">
        <f t="shared" si="2"/>
        <v>41.418299999999995</v>
      </c>
      <c r="H15" s="9">
        <f t="shared" si="2"/>
        <v>62.046599999999998</v>
      </c>
      <c r="I15" s="9">
        <f t="shared" si="2"/>
        <v>66.343199999999996</v>
      </c>
      <c r="J15" s="9">
        <f t="shared" si="2"/>
        <v>70.501199999999997</v>
      </c>
      <c r="K15" s="9">
        <f t="shared" si="2"/>
        <v>74.797799999999995</v>
      </c>
      <c r="L15" s="9"/>
      <c r="M15" s="9"/>
      <c r="N15" s="9"/>
      <c r="O15" s="9"/>
    </row>
    <row r="16" spans="1:15" s="4" customFormat="1" x14ac:dyDescent="0.25">
      <c r="A16" s="13" t="s">
        <v>52</v>
      </c>
      <c r="B16" s="14"/>
      <c r="C16" s="15"/>
      <c r="D16" s="15"/>
      <c r="E16" s="15"/>
      <c r="F16" s="15">
        <f>30*F10*2.55</f>
        <v>89071.5</v>
      </c>
      <c r="G16" s="15">
        <f>30*G10*2.55</f>
        <v>89071.5</v>
      </c>
      <c r="H16" s="15"/>
      <c r="I16" s="15"/>
      <c r="J16" s="15"/>
      <c r="K16" s="15"/>
      <c r="L16" s="15">
        <f>30*L10*2.55</f>
        <v>89530.5</v>
      </c>
      <c r="M16" s="15">
        <f>30*M10*2.55</f>
        <v>89530.5</v>
      </c>
      <c r="N16" s="15">
        <f>SUM(B16:M16)</f>
        <v>357204</v>
      </c>
      <c r="O16" s="16">
        <f t="shared" ref="O16:O25" si="3">N16/$N$16</f>
        <v>1</v>
      </c>
    </row>
    <row r="17" spans="1:15" x14ac:dyDescent="0.25">
      <c r="A17" s="8" t="s">
        <v>45</v>
      </c>
      <c r="B17" s="5">
        <f>ROUND(B9*B6,0)</f>
        <v>99382</v>
      </c>
      <c r="C17" s="5"/>
      <c r="D17" s="5"/>
      <c r="E17" s="5"/>
      <c r="F17" s="5"/>
      <c r="G17" s="5"/>
      <c r="H17" s="5">
        <f>ROUND(H9*H6,0)</f>
        <v>99382</v>
      </c>
      <c r="I17" s="5"/>
      <c r="J17" s="5"/>
      <c r="K17" s="5"/>
      <c r="L17" s="5"/>
      <c r="M17" s="5"/>
      <c r="N17" s="5">
        <f t="shared" ref="N17:N29" si="4">SUM(B17:M17)</f>
        <v>198764</v>
      </c>
      <c r="O17" s="17">
        <f t="shared" si="3"/>
        <v>0.55644393679802018</v>
      </c>
    </row>
    <row r="18" spans="1:15" x14ac:dyDescent="0.25">
      <c r="A18" s="8" t="s">
        <v>10</v>
      </c>
      <c r="B18" s="5">
        <f>4000*0.35</f>
        <v>1400</v>
      </c>
      <c r="C18" s="5"/>
      <c r="D18" s="5"/>
      <c r="E18" s="5"/>
      <c r="F18" s="5"/>
      <c r="G18" s="5">
        <f>4000*0.35</f>
        <v>1400</v>
      </c>
      <c r="H18" s="5"/>
      <c r="I18" s="5"/>
      <c r="J18" s="5"/>
      <c r="K18" s="5"/>
      <c r="L18" s="5"/>
      <c r="M18" s="5"/>
      <c r="N18" s="5">
        <f t="shared" si="4"/>
        <v>2800</v>
      </c>
      <c r="O18" s="17">
        <f t="shared" si="3"/>
        <v>7.8386580217466775E-3</v>
      </c>
    </row>
    <row r="19" spans="1:15" x14ac:dyDescent="0.25">
      <c r="A19" s="8" t="s">
        <v>17</v>
      </c>
      <c r="B19" s="5"/>
      <c r="C19" s="5"/>
      <c r="D19" s="5"/>
      <c r="E19" s="5">
        <f t="shared" ref="E19:K19" si="5">E4*20</f>
        <v>1200</v>
      </c>
      <c r="F19" s="5">
        <f t="shared" si="5"/>
        <v>1200</v>
      </c>
      <c r="G19" s="5">
        <f t="shared" si="5"/>
        <v>600</v>
      </c>
      <c r="H19" s="5">
        <f t="shared" si="5"/>
        <v>1200</v>
      </c>
      <c r="I19" s="5">
        <f t="shared" si="5"/>
        <v>1200</v>
      </c>
      <c r="J19" s="5">
        <f t="shared" si="5"/>
        <v>1200</v>
      </c>
      <c r="K19" s="5">
        <f t="shared" si="5"/>
        <v>1200</v>
      </c>
      <c r="L19" s="5"/>
      <c r="M19" s="5"/>
      <c r="N19" s="5">
        <f t="shared" si="4"/>
        <v>7800</v>
      </c>
      <c r="O19" s="17">
        <f t="shared" si="3"/>
        <v>2.1836261632008601E-2</v>
      </c>
    </row>
    <row r="20" spans="1:15" x14ac:dyDescent="0.25">
      <c r="A20" s="8" t="s">
        <v>0</v>
      </c>
      <c r="B20" s="5">
        <f>B13*B12</f>
        <v>2544.2388888888891</v>
      </c>
      <c r="C20" s="5">
        <f>C13*C12</f>
        <v>2703.3722222222223</v>
      </c>
      <c r="D20" s="5">
        <f>D13*D12</f>
        <v>2873.8722222222223</v>
      </c>
      <c r="E20" s="5"/>
      <c r="F20" s="5"/>
      <c r="G20" s="5"/>
      <c r="H20" s="5"/>
      <c r="I20" s="5"/>
      <c r="J20" s="5"/>
      <c r="K20" s="5"/>
      <c r="L20" s="5">
        <f>L13*L12</f>
        <v>3237.6055555555558</v>
      </c>
      <c r="M20" s="5">
        <f>M13*M12</f>
        <v>1706.8944444444444</v>
      </c>
      <c r="N20" s="5">
        <f t="shared" si="4"/>
        <v>13065.983333333334</v>
      </c>
      <c r="O20" s="17">
        <f t="shared" si="3"/>
        <v>3.6578491095657757E-2</v>
      </c>
    </row>
    <row r="21" spans="1:15" x14ac:dyDescent="0.25">
      <c r="A21" s="8" t="s">
        <v>1</v>
      </c>
      <c r="B21" s="5">
        <f t="shared" ref="B21:M21" si="6">B9*0.01</f>
        <v>537.20000000000005</v>
      </c>
      <c r="C21" s="5">
        <f t="shared" si="6"/>
        <v>570.80000000000007</v>
      </c>
      <c r="D21" s="5">
        <f t="shared" si="6"/>
        <v>606.80000000000007</v>
      </c>
      <c r="E21" s="5">
        <f t="shared" si="6"/>
        <v>642.80000000000007</v>
      </c>
      <c r="F21" s="5">
        <f t="shared" si="6"/>
        <v>680</v>
      </c>
      <c r="G21" s="5">
        <f t="shared" si="6"/>
        <v>358.6</v>
      </c>
      <c r="H21" s="5">
        <f t="shared" si="6"/>
        <v>537.20000000000005</v>
      </c>
      <c r="I21" s="5">
        <f t="shared" si="6"/>
        <v>574.4</v>
      </c>
      <c r="J21" s="5">
        <f t="shared" si="6"/>
        <v>610.4</v>
      </c>
      <c r="K21" s="5">
        <f t="shared" si="6"/>
        <v>647.6</v>
      </c>
      <c r="L21" s="5">
        <f t="shared" si="6"/>
        <v>683.6</v>
      </c>
      <c r="M21" s="5">
        <f t="shared" si="6"/>
        <v>360.40000000000003</v>
      </c>
      <c r="N21" s="5">
        <f t="shared" si="4"/>
        <v>6809.8</v>
      </c>
      <c r="O21" s="17">
        <f t="shared" si="3"/>
        <v>1.906417621303233E-2</v>
      </c>
    </row>
    <row r="22" spans="1:15" x14ac:dyDescent="0.25">
      <c r="A22" s="8" t="s">
        <v>2</v>
      </c>
      <c r="B22" s="5">
        <f t="shared" ref="B22:M22" si="7">B9*0.006</f>
        <v>322.32</v>
      </c>
      <c r="C22" s="5">
        <f t="shared" si="7"/>
        <v>342.48</v>
      </c>
      <c r="D22" s="5">
        <f t="shared" si="7"/>
        <v>364.08</v>
      </c>
      <c r="E22" s="5">
        <f t="shared" si="7"/>
        <v>385.68</v>
      </c>
      <c r="F22" s="5">
        <f t="shared" si="7"/>
        <v>408</v>
      </c>
      <c r="G22" s="5">
        <f t="shared" si="7"/>
        <v>215.16</v>
      </c>
      <c r="H22" s="5">
        <f t="shared" si="7"/>
        <v>322.32</v>
      </c>
      <c r="I22" s="5">
        <f t="shared" si="7"/>
        <v>344.64</v>
      </c>
      <c r="J22" s="5">
        <f t="shared" si="7"/>
        <v>366.24</v>
      </c>
      <c r="K22" s="5">
        <f t="shared" si="7"/>
        <v>388.56</v>
      </c>
      <c r="L22" s="5">
        <f t="shared" si="7"/>
        <v>410.16</v>
      </c>
      <c r="M22" s="5">
        <f t="shared" si="7"/>
        <v>216.24</v>
      </c>
      <c r="N22" s="5">
        <f t="shared" si="4"/>
        <v>4085.88</v>
      </c>
      <c r="O22" s="17">
        <f t="shared" si="3"/>
        <v>1.1438505727819398E-2</v>
      </c>
    </row>
    <row r="23" spans="1:15" x14ac:dyDescent="0.25">
      <c r="A23" s="8" t="s">
        <v>3</v>
      </c>
      <c r="B23" s="5">
        <v>350</v>
      </c>
      <c r="C23" s="5">
        <v>350</v>
      </c>
      <c r="D23" s="5">
        <v>350</v>
      </c>
      <c r="E23" s="5">
        <v>350</v>
      </c>
      <c r="F23" s="5">
        <v>350</v>
      </c>
      <c r="G23" s="5">
        <v>350</v>
      </c>
      <c r="H23" s="5">
        <v>350</v>
      </c>
      <c r="I23" s="5">
        <v>350</v>
      </c>
      <c r="J23" s="5">
        <v>350</v>
      </c>
      <c r="K23" s="5">
        <v>350</v>
      </c>
      <c r="L23" s="5">
        <v>350</v>
      </c>
      <c r="M23" s="5">
        <v>350</v>
      </c>
      <c r="N23" s="5">
        <f t="shared" si="4"/>
        <v>4200</v>
      </c>
      <c r="O23" s="17">
        <f t="shared" si="3"/>
        <v>1.1757987032620015E-2</v>
      </c>
    </row>
    <row r="24" spans="1:15" x14ac:dyDescent="0.25">
      <c r="A24" s="8" t="s">
        <v>4</v>
      </c>
      <c r="B24" s="5">
        <f>750</f>
        <v>750</v>
      </c>
      <c r="C24" s="5">
        <f>500</f>
        <v>500</v>
      </c>
      <c r="D24" s="5">
        <f>250</f>
        <v>250</v>
      </c>
      <c r="E24" s="5"/>
      <c r="F24" s="5"/>
      <c r="G24" s="5">
        <f>750</f>
        <v>750</v>
      </c>
      <c r="H24" s="5">
        <f>500</f>
        <v>500</v>
      </c>
      <c r="I24" s="5">
        <f>250</f>
        <v>250</v>
      </c>
      <c r="J24" s="5"/>
      <c r="K24" s="5"/>
      <c r="L24" s="5"/>
      <c r="M24" s="5"/>
      <c r="N24" s="5">
        <f t="shared" si="4"/>
        <v>3000</v>
      </c>
      <c r="O24" s="17">
        <f t="shared" si="3"/>
        <v>8.398562166157154E-3</v>
      </c>
    </row>
    <row r="25" spans="1:15" x14ac:dyDescent="0.25">
      <c r="A25" s="8" t="s">
        <v>5</v>
      </c>
      <c r="B25" s="5">
        <f>600</f>
        <v>600</v>
      </c>
      <c r="C25" s="5">
        <f>600</f>
        <v>600</v>
      </c>
      <c r="D25" s="5">
        <f>600</f>
        <v>600</v>
      </c>
      <c r="E25" s="5">
        <f>600</f>
        <v>600</v>
      </c>
      <c r="F25" s="5">
        <f>600</f>
        <v>600</v>
      </c>
      <c r="G25" s="5">
        <f>600</f>
        <v>600</v>
      </c>
      <c r="H25" s="5">
        <f>600</f>
        <v>600</v>
      </c>
      <c r="I25" s="5">
        <f>600</f>
        <v>600</v>
      </c>
      <c r="J25" s="5">
        <f>600</f>
        <v>600</v>
      </c>
      <c r="K25" s="5">
        <f>600</f>
        <v>600</v>
      </c>
      <c r="L25" s="5">
        <f>600</f>
        <v>600</v>
      </c>
      <c r="M25" s="5">
        <f>600</f>
        <v>600</v>
      </c>
      <c r="N25" s="5">
        <f>SUM(B25:M25)</f>
        <v>7200</v>
      </c>
      <c r="O25" s="17">
        <f t="shared" si="3"/>
        <v>2.0156549198777168E-2</v>
      </c>
    </row>
    <row r="26" spans="1:15" x14ac:dyDescent="0.25">
      <c r="A26" s="8" t="s">
        <v>43</v>
      </c>
      <c r="B26" s="5"/>
      <c r="C26" s="5"/>
      <c r="D26" s="5"/>
      <c r="E26" s="5"/>
      <c r="F26" s="5"/>
      <c r="G26" s="5">
        <v>1500</v>
      </c>
      <c r="H26" s="5"/>
      <c r="I26" s="5"/>
      <c r="J26" s="5"/>
      <c r="K26" s="5"/>
      <c r="L26" s="5"/>
      <c r="M26" s="5">
        <v>1500</v>
      </c>
      <c r="N26" s="5">
        <f t="shared" si="4"/>
        <v>3000</v>
      </c>
      <c r="O26" s="17"/>
    </row>
    <row r="27" spans="1:15" x14ac:dyDescent="0.25">
      <c r="A27" s="8" t="s">
        <v>7</v>
      </c>
      <c r="B27" s="5"/>
      <c r="C27" s="5"/>
      <c r="D27" s="5"/>
      <c r="E27" s="5"/>
      <c r="F27" s="5">
        <v>1050</v>
      </c>
      <c r="G27" s="5">
        <v>1050</v>
      </c>
      <c r="H27" s="18"/>
      <c r="I27" s="5"/>
      <c r="J27" s="5"/>
      <c r="K27" s="5"/>
      <c r="L27" s="5">
        <v>1050</v>
      </c>
      <c r="M27" s="5">
        <v>1050</v>
      </c>
      <c r="N27" s="5">
        <f t="shared" si="4"/>
        <v>4200</v>
      </c>
      <c r="O27" s="17">
        <f>N27/$N$16</f>
        <v>1.1757987032620015E-2</v>
      </c>
    </row>
    <row r="28" spans="1:15" x14ac:dyDescent="0.25">
      <c r="A28" s="8" t="s">
        <v>8</v>
      </c>
      <c r="B28" s="5">
        <v>200</v>
      </c>
      <c r="C28" s="5">
        <v>200</v>
      </c>
      <c r="D28" s="5">
        <v>200</v>
      </c>
      <c r="E28" s="5">
        <v>200</v>
      </c>
      <c r="F28" s="5">
        <v>200</v>
      </c>
      <c r="G28" s="5">
        <v>200</v>
      </c>
      <c r="H28" s="5">
        <v>200</v>
      </c>
      <c r="I28" s="5">
        <v>200</v>
      </c>
      <c r="J28" s="5">
        <v>200</v>
      </c>
      <c r="K28" s="5">
        <v>200</v>
      </c>
      <c r="L28" s="5">
        <v>200</v>
      </c>
      <c r="M28" s="5">
        <v>200</v>
      </c>
      <c r="N28" s="5">
        <f t="shared" si="4"/>
        <v>2400</v>
      </c>
      <c r="O28" s="17">
        <f>N28/$N$16</f>
        <v>6.7188497329257234E-3</v>
      </c>
    </row>
    <row r="29" spans="1:15" x14ac:dyDescent="0.25">
      <c r="A29" s="8" t="s">
        <v>28</v>
      </c>
      <c r="B29" s="5"/>
      <c r="C29" s="5">
        <v>1000</v>
      </c>
      <c r="D29" s="5"/>
      <c r="E29" s="5"/>
      <c r="F29" s="5"/>
      <c r="G29" s="5"/>
      <c r="H29" s="5"/>
      <c r="I29" s="5">
        <v>1000</v>
      </c>
      <c r="J29" s="5"/>
      <c r="K29" s="5"/>
      <c r="L29" s="5"/>
      <c r="M29" s="5"/>
      <c r="N29" s="5">
        <f t="shared" si="4"/>
        <v>2000</v>
      </c>
      <c r="O29" s="17">
        <f>N29/$N$16</f>
        <v>5.5990414441047694E-3</v>
      </c>
    </row>
    <row r="30" spans="1:15" s="4" customFormat="1" x14ac:dyDescent="0.25">
      <c r="A30" s="13" t="s">
        <v>29</v>
      </c>
      <c r="B30" s="15">
        <f t="shared" ref="B30:N30" si="8">SUM(B17:B29)</f>
        <v>106085.75888888889</v>
      </c>
      <c r="C30" s="15">
        <f t="shared" si="8"/>
        <v>6266.6522222222229</v>
      </c>
      <c r="D30" s="15">
        <f t="shared" si="8"/>
        <v>5244.7522222222224</v>
      </c>
      <c r="E30" s="15">
        <f t="shared" si="8"/>
        <v>3378.48</v>
      </c>
      <c r="F30" s="15">
        <f t="shared" si="8"/>
        <v>4488</v>
      </c>
      <c r="G30" s="15">
        <f t="shared" si="8"/>
        <v>7023.76</v>
      </c>
      <c r="H30" s="15">
        <f t="shared" si="8"/>
        <v>103091.52</v>
      </c>
      <c r="I30" s="15">
        <f t="shared" si="8"/>
        <v>4519.04</v>
      </c>
      <c r="J30" s="15">
        <f t="shared" si="8"/>
        <v>3326.6400000000003</v>
      </c>
      <c r="K30" s="15">
        <f t="shared" si="8"/>
        <v>3386.16</v>
      </c>
      <c r="L30" s="15">
        <f t="shared" si="8"/>
        <v>6531.3655555555561</v>
      </c>
      <c r="M30" s="15">
        <f t="shared" si="8"/>
        <v>5983.5344444444445</v>
      </c>
      <c r="N30" s="15">
        <f t="shared" si="8"/>
        <v>259325.66333333333</v>
      </c>
      <c r="O30" s="19">
        <f>N30/$N$16</f>
        <v>0.7259875682616469</v>
      </c>
    </row>
    <row r="31" spans="1:15" s="3" customFormat="1" x14ac:dyDescent="0.25">
      <c r="A31" s="8"/>
      <c r="B31" s="5"/>
      <c r="C31" s="5"/>
      <c r="D31" s="5"/>
      <c r="E31" s="5"/>
      <c r="F31" s="5"/>
      <c r="G31" s="5"/>
      <c r="H31" s="5"/>
      <c r="I31" s="5"/>
      <c r="J31" s="5"/>
      <c r="K31" s="5"/>
      <c r="L31" s="5"/>
      <c r="M31" s="5"/>
      <c r="N31" s="5"/>
      <c r="O31" s="17"/>
    </row>
    <row r="32" spans="1:15" s="4" customFormat="1" x14ac:dyDescent="0.25">
      <c r="A32" s="13" t="s">
        <v>35</v>
      </c>
      <c r="B32" s="15">
        <f t="shared" ref="B32:N32" si="9">B16-B30</f>
        <v>-106085.75888888889</v>
      </c>
      <c r="C32" s="15">
        <f t="shared" si="9"/>
        <v>-6266.6522222222229</v>
      </c>
      <c r="D32" s="15">
        <f t="shared" si="9"/>
        <v>-5244.7522222222224</v>
      </c>
      <c r="E32" s="15">
        <f t="shared" si="9"/>
        <v>-3378.48</v>
      </c>
      <c r="F32" s="15">
        <f t="shared" si="9"/>
        <v>84583.5</v>
      </c>
      <c r="G32" s="15">
        <f t="shared" si="9"/>
        <v>82047.740000000005</v>
      </c>
      <c r="H32" s="15">
        <f t="shared" si="9"/>
        <v>-103091.52</v>
      </c>
      <c r="I32" s="15">
        <f t="shared" si="9"/>
        <v>-4519.04</v>
      </c>
      <c r="J32" s="15">
        <f t="shared" si="9"/>
        <v>-3326.6400000000003</v>
      </c>
      <c r="K32" s="15">
        <f t="shared" si="9"/>
        <v>-3386.16</v>
      </c>
      <c r="L32" s="15">
        <f t="shared" si="9"/>
        <v>82999.13444444444</v>
      </c>
      <c r="M32" s="15">
        <f t="shared" si="9"/>
        <v>83546.965555555551</v>
      </c>
      <c r="N32" s="15">
        <f t="shared" si="9"/>
        <v>97878.33666666667</v>
      </c>
      <c r="O32" s="19">
        <f>N32/$N$16</f>
        <v>0.27401243173835305</v>
      </c>
    </row>
    <row r="33" spans="1:15" x14ac:dyDescent="0.25">
      <c r="A33" s="8" t="s">
        <v>36</v>
      </c>
      <c r="B33" s="20"/>
      <c r="C33" s="20"/>
      <c r="D33" s="20"/>
      <c r="E33" s="20"/>
      <c r="F33" s="20"/>
      <c r="G33" s="20"/>
      <c r="H33" s="20"/>
      <c r="I33" s="20"/>
      <c r="J33" s="20"/>
      <c r="K33" s="20"/>
      <c r="L33" s="20"/>
      <c r="M33" s="20"/>
      <c r="N33" s="20"/>
      <c r="O33" s="21"/>
    </row>
    <row r="34" spans="1:15" x14ac:dyDescent="0.25">
      <c r="A34" s="8" t="s">
        <v>9</v>
      </c>
      <c r="B34" s="5">
        <f>(150000*0.05)/12</f>
        <v>625</v>
      </c>
      <c r="C34" s="5">
        <f t="shared" ref="C34:L34" si="10">(150000*0.05)/12</f>
        <v>625</v>
      </c>
      <c r="D34" s="5">
        <f t="shared" si="10"/>
        <v>625</v>
      </c>
      <c r="E34" s="5">
        <f t="shared" si="10"/>
        <v>625</v>
      </c>
      <c r="F34" s="5">
        <f t="shared" si="10"/>
        <v>625</v>
      </c>
      <c r="G34" s="5">
        <f>(75000*0.05)/12</f>
        <v>312.5</v>
      </c>
      <c r="H34" s="5">
        <f t="shared" si="10"/>
        <v>625</v>
      </c>
      <c r="I34" s="5">
        <f t="shared" si="10"/>
        <v>625</v>
      </c>
      <c r="J34" s="5">
        <f t="shared" si="10"/>
        <v>625</v>
      </c>
      <c r="K34" s="5">
        <f t="shared" si="10"/>
        <v>625</v>
      </c>
      <c r="L34" s="5">
        <f t="shared" si="10"/>
        <v>625</v>
      </c>
      <c r="M34" s="5">
        <f>(75000*0.05)/12</f>
        <v>312.5</v>
      </c>
      <c r="N34" s="5">
        <f t="shared" ref="N34" si="11">SUM(B34:M34)</f>
        <v>6875</v>
      </c>
      <c r="O34" s="17">
        <f>N34/$N$16</f>
        <v>1.9246704964110146E-2</v>
      </c>
    </row>
    <row r="35" spans="1:15" x14ac:dyDescent="0.25">
      <c r="A35" s="8" t="s">
        <v>6</v>
      </c>
      <c r="B35" s="5">
        <v>1000</v>
      </c>
      <c r="C35" s="5">
        <v>1000</v>
      </c>
      <c r="D35" s="5">
        <v>1000</v>
      </c>
      <c r="E35" s="5">
        <v>1000</v>
      </c>
      <c r="F35" s="5">
        <v>1000</v>
      </c>
      <c r="G35" s="5">
        <v>1000</v>
      </c>
      <c r="H35" s="5">
        <v>1000</v>
      </c>
      <c r="I35" s="5">
        <v>1000</v>
      </c>
      <c r="J35" s="5">
        <v>1000</v>
      </c>
      <c r="K35" s="5">
        <v>1000</v>
      </c>
      <c r="L35" s="5">
        <v>1000</v>
      </c>
      <c r="M35" s="5">
        <v>1000</v>
      </c>
      <c r="N35" s="5">
        <f>SUM(B35:M35)</f>
        <v>12000</v>
      </c>
      <c r="O35" s="17">
        <f>N35/$N$16</f>
        <v>3.3594248664628616E-2</v>
      </c>
    </row>
    <row r="36" spans="1:15" x14ac:dyDescent="0.25">
      <c r="A36" s="8" t="s">
        <v>34</v>
      </c>
      <c r="B36" s="5"/>
      <c r="C36" s="5"/>
      <c r="D36" s="5">
        <v>1500</v>
      </c>
      <c r="E36" s="5"/>
      <c r="F36" s="5"/>
      <c r="G36" s="5"/>
      <c r="H36" s="5"/>
      <c r="I36" s="5"/>
      <c r="J36" s="5"/>
      <c r="K36" s="5"/>
      <c r="L36" s="5"/>
      <c r="M36" s="5"/>
      <c r="N36" s="5">
        <f>SUM(B36:M36)</f>
        <v>1500</v>
      </c>
      <c r="O36" s="17">
        <f>N36/$N$16</f>
        <v>4.199281083078577E-3</v>
      </c>
    </row>
    <row r="37" spans="1:15" x14ac:dyDescent="0.25">
      <c r="A37" s="8" t="s">
        <v>16</v>
      </c>
      <c r="B37" s="5">
        <v>200</v>
      </c>
      <c r="C37" s="5">
        <v>200</v>
      </c>
      <c r="D37" s="5">
        <v>200</v>
      </c>
      <c r="E37" s="5">
        <v>200</v>
      </c>
      <c r="F37" s="5">
        <v>200</v>
      </c>
      <c r="G37" s="5">
        <v>200</v>
      </c>
      <c r="H37" s="5">
        <v>200</v>
      </c>
      <c r="I37" s="5">
        <v>200</v>
      </c>
      <c r="J37" s="5">
        <v>200</v>
      </c>
      <c r="K37" s="5">
        <v>200</v>
      </c>
      <c r="L37" s="5">
        <v>200</v>
      </c>
      <c r="M37" s="5">
        <v>200</v>
      </c>
      <c r="N37" s="5">
        <f>SUM(B37:M37)</f>
        <v>2400</v>
      </c>
      <c r="O37" s="17">
        <f>N37/$N$16</f>
        <v>6.7188497329257234E-3</v>
      </c>
    </row>
    <row r="38" spans="1:15" x14ac:dyDescent="0.25">
      <c r="A38" s="8" t="s">
        <v>44</v>
      </c>
      <c r="B38" s="5">
        <v>3500</v>
      </c>
      <c r="C38" s="5">
        <v>3500</v>
      </c>
      <c r="D38" s="5">
        <v>3500</v>
      </c>
      <c r="E38" s="5">
        <v>3500</v>
      </c>
      <c r="F38" s="5">
        <v>3500</v>
      </c>
      <c r="G38" s="5">
        <v>3500</v>
      </c>
      <c r="H38" s="5">
        <v>3500</v>
      </c>
      <c r="I38" s="5">
        <v>3500</v>
      </c>
      <c r="J38" s="5">
        <v>3500</v>
      </c>
      <c r="K38" s="5">
        <v>3500</v>
      </c>
      <c r="L38" s="5">
        <v>3500</v>
      </c>
      <c r="M38" s="5">
        <v>3500</v>
      </c>
      <c r="N38" s="5">
        <f>SUM(B38:M38)</f>
        <v>42000</v>
      </c>
      <c r="O38" s="17">
        <f>N38/$N$16</f>
        <v>0.11757987032620015</v>
      </c>
    </row>
    <row r="39" spans="1:15" x14ac:dyDescent="0.25">
      <c r="A39" s="8"/>
      <c r="B39" s="5"/>
      <c r="C39" s="5"/>
      <c r="D39" s="5"/>
      <c r="E39" s="5"/>
      <c r="F39" s="5"/>
      <c r="G39" s="5"/>
      <c r="H39" s="5"/>
      <c r="I39" s="5"/>
      <c r="J39" s="5"/>
      <c r="K39" s="5"/>
      <c r="L39" s="5"/>
      <c r="M39" s="5"/>
      <c r="N39" s="20"/>
      <c r="O39" s="21"/>
    </row>
    <row r="40" spans="1:15" x14ac:dyDescent="0.25">
      <c r="A40" s="8" t="s">
        <v>46</v>
      </c>
      <c r="B40" s="5">
        <f t="shared" ref="B40:M40" si="12">SUM(B34:B38)</f>
        <v>5325</v>
      </c>
      <c r="C40" s="5">
        <f t="shared" si="12"/>
        <v>5325</v>
      </c>
      <c r="D40" s="5">
        <f t="shared" si="12"/>
        <v>6825</v>
      </c>
      <c r="E40" s="5">
        <f t="shared" si="12"/>
        <v>5325</v>
      </c>
      <c r="F40" s="5">
        <f t="shared" si="12"/>
        <v>5325</v>
      </c>
      <c r="G40" s="5">
        <f t="shared" si="12"/>
        <v>5012.5</v>
      </c>
      <c r="H40" s="5">
        <f t="shared" si="12"/>
        <v>5325</v>
      </c>
      <c r="I40" s="5">
        <f t="shared" si="12"/>
        <v>5325</v>
      </c>
      <c r="J40" s="5">
        <f t="shared" si="12"/>
        <v>5325</v>
      </c>
      <c r="K40" s="5">
        <f t="shared" si="12"/>
        <v>5325</v>
      </c>
      <c r="L40" s="5">
        <f t="shared" si="12"/>
        <v>5325</v>
      </c>
      <c r="M40" s="5">
        <f t="shared" si="12"/>
        <v>5012.5</v>
      </c>
      <c r="N40" s="5">
        <f>SUM(B40:M40)</f>
        <v>64775</v>
      </c>
      <c r="O40" s="17">
        <f>N40/$N$16</f>
        <v>0.18133895477094322</v>
      </c>
    </row>
    <row r="41" spans="1:15" s="4" customFormat="1" x14ac:dyDescent="0.25">
      <c r="A41" s="13" t="s">
        <v>37</v>
      </c>
      <c r="B41" s="15">
        <f t="shared" ref="B41:M41" si="13">B16-(B30+B40)</f>
        <v>-111410.75888888889</v>
      </c>
      <c r="C41" s="15">
        <f t="shared" si="13"/>
        <v>-11591.652222222223</v>
      </c>
      <c r="D41" s="15">
        <f t="shared" si="13"/>
        <v>-12069.752222222221</v>
      </c>
      <c r="E41" s="15">
        <f t="shared" si="13"/>
        <v>-8703.48</v>
      </c>
      <c r="F41" s="15">
        <f t="shared" si="13"/>
        <v>79258.5</v>
      </c>
      <c r="G41" s="15">
        <f t="shared" si="13"/>
        <v>77035.240000000005</v>
      </c>
      <c r="H41" s="15">
        <f t="shared" si="13"/>
        <v>-108416.52</v>
      </c>
      <c r="I41" s="15">
        <f t="shared" si="13"/>
        <v>-9844.0400000000009</v>
      </c>
      <c r="J41" s="15">
        <f t="shared" si="13"/>
        <v>-8651.64</v>
      </c>
      <c r="K41" s="15">
        <f t="shared" si="13"/>
        <v>-8711.16</v>
      </c>
      <c r="L41" s="15">
        <f t="shared" si="13"/>
        <v>77674.13444444444</v>
      </c>
      <c r="M41" s="15">
        <f t="shared" si="13"/>
        <v>78534.465555555551</v>
      </c>
      <c r="N41" s="15">
        <f>SUM(B41:M41)</f>
        <v>33103.336666666641</v>
      </c>
      <c r="O41" s="19">
        <f>N41/$N$16</f>
        <v>9.2673476967409768E-2</v>
      </c>
    </row>
    <row r="42" spans="1:15" x14ac:dyDescent="0.25">
      <c r="A42" s="22" t="s">
        <v>38</v>
      </c>
      <c r="B42" s="23">
        <v>15000</v>
      </c>
      <c r="C42" s="23">
        <f>B46</f>
        <v>53589.241111111114</v>
      </c>
      <c r="D42" s="23">
        <f t="shared" ref="D42:M42" si="14">C46</f>
        <v>41997.588888888888</v>
      </c>
      <c r="E42" s="23">
        <f t="shared" si="14"/>
        <v>29927.836666666666</v>
      </c>
      <c r="F42" s="23">
        <f t="shared" si="14"/>
        <v>21224.356666666667</v>
      </c>
      <c r="G42" s="23">
        <f t="shared" si="14"/>
        <v>25482.856666666667</v>
      </c>
      <c r="H42" s="23">
        <f t="shared" si="14"/>
        <v>27518.096666666672</v>
      </c>
      <c r="I42" s="23">
        <f t="shared" si="14"/>
        <v>69101.57666666666</v>
      </c>
      <c r="J42" s="23">
        <f t="shared" si="14"/>
        <v>59257.53666666666</v>
      </c>
      <c r="K42" s="23">
        <f t="shared" si="14"/>
        <v>50605.89666666666</v>
      </c>
      <c r="L42" s="23">
        <f t="shared" si="14"/>
        <v>41894.736666666664</v>
      </c>
      <c r="M42" s="23">
        <f t="shared" si="14"/>
        <v>44568.871111111104</v>
      </c>
      <c r="N42" s="24"/>
      <c r="O42" s="25"/>
    </row>
    <row r="43" spans="1:15" x14ac:dyDescent="0.25">
      <c r="A43" s="22" t="s">
        <v>40</v>
      </c>
      <c r="B43" s="23">
        <v>150000</v>
      </c>
      <c r="C43" s="23"/>
      <c r="D43" s="23"/>
      <c r="E43" s="23"/>
      <c r="F43" s="23"/>
      <c r="G43" s="23"/>
      <c r="H43" s="23">
        <v>150000</v>
      </c>
      <c r="I43" s="23"/>
      <c r="J43" s="23"/>
      <c r="K43" s="23"/>
      <c r="L43" s="23"/>
      <c r="M43" s="23"/>
      <c r="N43" s="24"/>
      <c r="O43" s="25"/>
    </row>
    <row r="44" spans="1:15" x14ac:dyDescent="0.25">
      <c r="A44" s="22" t="s">
        <v>41</v>
      </c>
      <c r="B44" s="23"/>
      <c r="C44" s="23"/>
      <c r="D44" s="23"/>
      <c r="E44" s="23"/>
      <c r="F44" s="23">
        <v>75000</v>
      </c>
      <c r="G44" s="23">
        <v>75000</v>
      </c>
      <c r="H44" s="23"/>
      <c r="I44" s="23"/>
      <c r="J44" s="23"/>
      <c r="K44" s="23"/>
      <c r="L44" s="23">
        <v>75000</v>
      </c>
      <c r="M44" s="23">
        <v>75000</v>
      </c>
      <c r="N44" s="24"/>
      <c r="O44" s="25"/>
    </row>
    <row r="45" spans="1:15" x14ac:dyDescent="0.25">
      <c r="A45" s="22" t="s">
        <v>42</v>
      </c>
      <c r="B45" s="23"/>
      <c r="C45" s="23"/>
      <c r="D45" s="23"/>
      <c r="E45" s="23"/>
      <c r="F45" s="23"/>
      <c r="G45" s="23"/>
      <c r="H45" s="23"/>
      <c r="I45" s="23"/>
      <c r="J45" s="23"/>
      <c r="K45" s="23"/>
      <c r="L45" s="23"/>
      <c r="M45" s="23"/>
      <c r="N45" s="24"/>
      <c r="O45" s="25"/>
    </row>
    <row r="46" spans="1:15" x14ac:dyDescent="0.25">
      <c r="A46" s="22" t="s">
        <v>39</v>
      </c>
      <c r="B46" s="23">
        <f t="shared" ref="B46:M46" si="15">B42+((B41+B43)-(B44+B45))</f>
        <v>53589.241111111114</v>
      </c>
      <c r="C46" s="23">
        <f t="shared" si="15"/>
        <v>41997.588888888888</v>
      </c>
      <c r="D46" s="23">
        <f t="shared" si="15"/>
        <v>29927.836666666666</v>
      </c>
      <c r="E46" s="23">
        <f t="shared" si="15"/>
        <v>21224.356666666667</v>
      </c>
      <c r="F46" s="23">
        <f t="shared" si="15"/>
        <v>25482.856666666667</v>
      </c>
      <c r="G46" s="23">
        <f t="shared" si="15"/>
        <v>27518.096666666672</v>
      </c>
      <c r="H46" s="23">
        <f t="shared" si="15"/>
        <v>69101.57666666666</v>
      </c>
      <c r="I46" s="23">
        <f t="shared" si="15"/>
        <v>59257.53666666666</v>
      </c>
      <c r="J46" s="23">
        <f t="shared" si="15"/>
        <v>50605.89666666666</v>
      </c>
      <c r="K46" s="23">
        <f t="shared" si="15"/>
        <v>41894.736666666664</v>
      </c>
      <c r="L46" s="23">
        <f t="shared" si="15"/>
        <v>44568.871111111104</v>
      </c>
      <c r="M46" s="23">
        <f t="shared" si="15"/>
        <v>48103.336666666655</v>
      </c>
      <c r="N46" s="23"/>
      <c r="O46" s="25"/>
    </row>
    <row r="47" spans="1:15" x14ac:dyDescent="0.25">
      <c r="O47" s="2"/>
    </row>
    <row r="48" spans="1:15" x14ac:dyDescent="0.25">
      <c r="A48" s="29" t="s">
        <v>56</v>
      </c>
      <c r="B48" s="29"/>
      <c r="C48" s="29"/>
      <c r="D48" s="29"/>
      <c r="E48" s="29"/>
      <c r="F48" s="29"/>
      <c r="G48" s="29"/>
      <c r="H48" s="29"/>
      <c r="I48" s="29"/>
      <c r="J48" s="29"/>
      <c r="K48" s="29"/>
      <c r="L48" s="29"/>
      <c r="O48" s="2"/>
    </row>
    <row r="49" spans="15:15" x14ac:dyDescent="0.25">
      <c r="O49" s="2"/>
    </row>
    <row r="50" spans="15:15" x14ac:dyDescent="0.25">
      <c r="O50" s="2"/>
    </row>
    <row r="51" spans="15:15" x14ac:dyDescent="0.25">
      <c r="O51" s="2"/>
    </row>
    <row r="52" spans="15:15" x14ac:dyDescent="0.25">
      <c r="O52" s="2"/>
    </row>
    <row r="53" spans="15:15" x14ac:dyDescent="0.25">
      <c r="O53" s="2"/>
    </row>
    <row r="54" spans="15:15" x14ac:dyDescent="0.25">
      <c r="O54" s="2"/>
    </row>
    <row r="55" spans="15:15" x14ac:dyDescent="0.25">
      <c r="O55" s="2"/>
    </row>
    <row r="56" spans="15:15" x14ac:dyDescent="0.25">
      <c r="O56" s="2"/>
    </row>
    <row r="57" spans="15:15" x14ac:dyDescent="0.25">
      <c r="O57" s="2"/>
    </row>
    <row r="58" spans="15:15" x14ac:dyDescent="0.25">
      <c r="O58" s="2"/>
    </row>
    <row r="59" spans="15:15" x14ac:dyDescent="0.25">
      <c r="O59" s="2"/>
    </row>
    <row r="60" spans="15:15" x14ac:dyDescent="0.25">
      <c r="O60" s="2"/>
    </row>
    <row r="61" spans="15:15" x14ac:dyDescent="0.25">
      <c r="O61" s="2"/>
    </row>
    <row r="62" spans="15:15" x14ac:dyDescent="0.25">
      <c r="O62" s="2"/>
    </row>
  </sheetData>
  <mergeCells count="2">
    <mergeCell ref="A1:O2"/>
    <mergeCell ref="A48:L48"/>
  </mergeCells>
  <pageMargins left="0.7" right="0.7" top="0.75" bottom="0.75" header="0.3" footer="0.3"/>
  <pageSetup scale="66" orientation="landscape" r:id="rId1"/>
  <ignoredErrors>
    <ignoredError sqref="J9"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TLM Edits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Williams</dc:creator>
  <cp:lastModifiedBy>Hunt, Heather</cp:lastModifiedBy>
  <cp:lastPrinted>2015-12-04T14:31:48Z</cp:lastPrinted>
  <dcterms:created xsi:type="dcterms:W3CDTF">2013-08-20T00:47:58Z</dcterms:created>
  <dcterms:modified xsi:type="dcterms:W3CDTF">2019-12-19T15:37:55Z</dcterms:modified>
</cp:coreProperties>
</file>